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6\CONTRATOS\INVITACIONES  PUBLICAS\INVITACION PUBLICA  5 - 2016 SOLUCION TECNOLOGICA\TRASLADO\"/>
    </mc:Choice>
  </mc:AlternateContent>
  <bookViews>
    <workbookView xWindow="0" yWindow="0" windowWidth="23040" windowHeight="9405"/>
  </bookViews>
  <sheets>
    <sheet name="Requisitos Financieros" sheetId="1" r:id="rId1"/>
    <sheet name="Analisis de Cifras" sheetId="2" r:id="rId2"/>
  </sheets>
  <definedNames>
    <definedName name="_xlnm.Print_Area" localSheetId="1">'Analisis de Cifras'!$A$1:$M$31</definedName>
    <definedName name="_xlnm.Print_Area" localSheetId="0">'Requisitos Financieros'!$A$1:$G$39</definedName>
  </definedNames>
  <calcPr calcId="171027"/>
</workbook>
</file>

<file path=xl/calcChain.xml><?xml version="1.0" encoding="utf-8"?>
<calcChain xmlns="http://schemas.openxmlformats.org/spreadsheetml/2006/main">
  <c r="E28" i="2" l="1"/>
  <c r="F19" i="2" l="1"/>
  <c r="G8" i="2" l="1"/>
  <c r="B8" i="2"/>
  <c r="C28" i="2" l="1"/>
  <c r="K18" i="2" l="1"/>
  <c r="E23" i="2" s="1"/>
  <c r="K16" i="2"/>
  <c r="K15" i="2"/>
  <c r="K17" i="2" s="1"/>
  <c r="K14" i="2"/>
  <c r="K13" i="2"/>
  <c r="K12" i="2"/>
  <c r="K11" i="2"/>
  <c r="K9" i="2"/>
  <c r="K10" i="2" l="1"/>
  <c r="E26" i="2" s="1"/>
  <c r="K8" i="2"/>
  <c r="E24" i="2" s="1"/>
  <c r="H8" i="2"/>
  <c r="H18" i="2"/>
  <c r="H16" i="2"/>
  <c r="H15" i="2"/>
  <c r="H17" i="2" s="1"/>
  <c r="H14" i="2"/>
  <c r="H13" i="2"/>
  <c r="H12" i="2"/>
  <c r="H11" i="2"/>
  <c r="H10" i="2"/>
  <c r="H9" i="2"/>
  <c r="J18" i="2"/>
  <c r="D23" i="2" s="1"/>
  <c r="I18" i="2"/>
  <c r="C23" i="2" s="1"/>
  <c r="J14" i="2"/>
  <c r="J13" i="2"/>
  <c r="J12" i="2"/>
  <c r="J10" i="2"/>
  <c r="J11" i="2"/>
  <c r="M11" i="2" s="1"/>
  <c r="J9" i="2"/>
  <c r="L9" i="2" s="1"/>
  <c r="J8" i="2"/>
  <c r="J16" i="2"/>
  <c r="L16" i="2" s="1"/>
  <c r="I16" i="2"/>
  <c r="J15" i="2"/>
  <c r="J17" i="2" s="1"/>
  <c r="I15" i="2"/>
  <c r="I17" i="2" s="1"/>
  <c r="L10" i="2" l="1"/>
  <c r="M9" i="2"/>
  <c r="M10" i="2"/>
  <c r="M18" i="2"/>
  <c r="L18" i="2"/>
  <c r="M12" i="2"/>
  <c r="L12" i="2"/>
  <c r="L11" i="2"/>
  <c r="M14" i="2"/>
  <c r="L14" i="2"/>
  <c r="L8" i="2"/>
  <c r="M13" i="2"/>
  <c r="L13" i="2"/>
  <c r="M16" i="2"/>
  <c r="L15" i="2"/>
  <c r="M15" i="2"/>
  <c r="I14" i="2"/>
  <c r="I13" i="2"/>
  <c r="B18" i="2"/>
  <c r="B23" i="2" s="1"/>
  <c r="B16" i="2"/>
  <c r="B15" i="2"/>
  <c r="B17" i="2" s="1"/>
  <c r="B14" i="2"/>
  <c r="B13" i="2"/>
  <c r="B12" i="2"/>
  <c r="B11" i="2"/>
  <c r="B9" i="2"/>
  <c r="B25" i="2" s="1"/>
  <c r="B10" i="2"/>
  <c r="E17" i="2"/>
  <c r="D17" i="2"/>
  <c r="C17" i="2"/>
  <c r="B27" i="2" l="1"/>
  <c r="L17" i="2"/>
  <c r="M17" i="2"/>
  <c r="I12" i="2"/>
  <c r="I11" i="2"/>
  <c r="I10" i="2"/>
  <c r="I9" i="2"/>
  <c r="I8" i="2"/>
  <c r="G18" i="2"/>
  <c r="F18" i="2"/>
  <c r="G17" i="2"/>
  <c r="F17" i="2"/>
  <c r="G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M8" i="2"/>
  <c r="F8" i="2"/>
  <c r="C26" i="2" l="1"/>
  <c r="C24" i="2"/>
  <c r="F16" i="2"/>
</calcChain>
</file>

<file path=xl/sharedStrings.xml><?xml version="1.0" encoding="utf-8"?>
<sst xmlns="http://schemas.openxmlformats.org/spreadsheetml/2006/main" count="111" uniqueCount="66">
  <si>
    <t>CUMPLE</t>
  </si>
  <si>
    <t>SI</t>
  </si>
  <si>
    <t>NO</t>
  </si>
  <si>
    <t>NO ESTAR EN CAUSAL DE LIQUIDACIÓN</t>
  </si>
  <si>
    <t>X</t>
  </si>
  <si>
    <t>CUMPLIMIENTO DE INFORMACIÓN FINANCIERA</t>
  </si>
  <si>
    <t>LIQUIDEZ MAYOR O IGUAL A 2</t>
  </si>
  <si>
    <t>SOLVENCIA MAYOR O IGUAL A 2</t>
  </si>
  <si>
    <t>ÍNDICE DE ENDEUDAMIENTO MENOR O IGUAL AL 40%</t>
  </si>
  <si>
    <t>CAPITAL DE TRABAJO MAYOR O IGUAL AL 130% DISPONIBILIDAD (MAYOR A $78.352.587)</t>
  </si>
  <si>
    <t>ÍTEM</t>
  </si>
  <si>
    <t xml:space="preserve">CAPITAL DE CONTRATACIÓN SEGÚN RUP (MAYOR A 117.03 SMMLV) </t>
  </si>
  <si>
    <t>OFERTA ECONÓMICA ANEXO No. 4</t>
  </si>
  <si>
    <t>CERTIFICACIÓN CUMPLIMIENTO EN PAGO DE OBLIGACIONES</t>
  </si>
  <si>
    <t>MARGEN DE RENTABILIDAD</t>
  </si>
  <si>
    <t>REQUERIMIENTOS FINANCIEROS HABILITANTES (parte general)</t>
  </si>
  <si>
    <t>REQUERIMIENTOS FINANCIEROS HABILITANTES (particulares)</t>
  </si>
  <si>
    <t xml:space="preserve">CONTROLES EMPRESARIALES </t>
  </si>
  <si>
    <t>THE BEST EXPERIENCE TECHNOLOGY S.A</t>
  </si>
  <si>
    <t>Estado de pérdidas y ganancias con sus notas correspondientes con corte a 31 de diciembre 2015</t>
  </si>
  <si>
    <t>Estados Financieros Firmados por el Representante Legal y el contador público</t>
  </si>
  <si>
    <t>Certificado de vigencia expedido por la Junta Central de Contadores del Contador</t>
  </si>
  <si>
    <t>Balance general y el estado de ganancias y pérdidas comparativos con sus notas correspondientes de 2014, 2015 firmados por el representante legal y el contador público, con el dictamen del revisor fiscal.</t>
  </si>
  <si>
    <t>Balance general y el estado de ganancias y pérdidas comparativos con sus notas correspondientes 2014 - 2013, firmados por el representante legal y el contador público, con el dictamen del revisor fiscal</t>
  </si>
  <si>
    <t>Balance general y el estado de ganancias y pérdidas de prueba al 30 de septiembre de 2016, suscrito también por el representante legal y el contador público.</t>
  </si>
  <si>
    <t>Deben poseer un capital de trabajo (activo corriente menos pasivo corriente) al 31 de diciembre de 2015 no inferior al 100% del monto del contrato previsto por Fogacoop</t>
  </si>
  <si>
    <t>Deben poseer un capital de trabajo (activo corriente menos pasivo corriente) al 30 de junio de 2016, no inferiores al 100% del contrato previsto por Fogacoop</t>
  </si>
  <si>
    <t>El nivel de endeudamiento de la entidad (pasivo total dividido el activo total) al 31 de diciembre de 2015 no debe ser superior al 70%</t>
  </si>
  <si>
    <t>El nivel de endeudamiento de la entidad (pasivo total dividido el activo total) al 30 de junio de 2016, no debe ser superior al 70%.</t>
  </si>
  <si>
    <t>El monto del capital social de la entidad al 31 de diciembre de 2015 no debe ser inferior al 100% del valor del contrato.</t>
  </si>
  <si>
    <t>No se deben evidenciar problemas de revelación contable en la información de estados financieros reportados.</t>
  </si>
  <si>
    <t>Fotocopia tarjeta profesional del contador.</t>
  </si>
  <si>
    <t>Fotocopia de la tarjeta profesional del Revisor Fiscal</t>
  </si>
  <si>
    <t>Balance General con sus notas correspondientes al 31 de diciembre de 2015</t>
  </si>
  <si>
    <t>(Millones de Pesos)</t>
  </si>
  <si>
    <t>Variac Absol.</t>
  </si>
  <si>
    <t>Variac %</t>
  </si>
  <si>
    <t>ACTIVO CORRIENTE</t>
  </si>
  <si>
    <t>PASIVO CORRIENTE</t>
  </si>
  <si>
    <t>ACTIVO TOTAL</t>
  </si>
  <si>
    <t>PASIVO TOTAL</t>
  </si>
  <si>
    <t>PATRIMONIO TOTAL</t>
  </si>
  <si>
    <t>CUENTAS POR COBRAR CLIENTES</t>
  </si>
  <si>
    <t>ACTIVOS FIJOS</t>
  </si>
  <si>
    <t>INGRESOS OPERACIONALES</t>
  </si>
  <si>
    <t>UTILIDAD OPERACIONAL</t>
  </si>
  <si>
    <t>INGRESOS TOTALES</t>
  </si>
  <si>
    <t>UTILIDAD NETA</t>
  </si>
  <si>
    <t>UNION TEMPORAL CONTROLES EMPRESARIALES &amp; THE BEST EXPERIENCE IN TECHNOLOGY</t>
  </si>
  <si>
    <t>No deben evidenciar pérdidas al cierre de los cuatro (4) últimos ejercicios anuales</t>
  </si>
  <si>
    <t>30 sep. 2016</t>
  </si>
  <si>
    <t>El nivel de endeudamiento de la entidad (pasivo total dividido el activo total) al 31 de diciembre de 2015 no debe ser superior al 70%.  cada uno de los integrantes del consorcio o unión temporal aporta al componente del indicador de acuerdo con su participación en el consorcio o unión temporal.</t>
  </si>
  <si>
    <t>El nivel de endeudamiento de la entidad (pasivo total dividido el activo total) al 30 de septiembre de 2016, no debe ser superior al 70%.</t>
  </si>
  <si>
    <t>CONTROLES EMPRESARIALES  (PART.  85%)</t>
  </si>
  <si>
    <t>THE BEST EXPERIENCE IN TECHNOLOGY (part. 15%)</t>
  </si>
  <si>
    <t>Deben poseer un capital de trabajo (activo corriente menos pasivo corriente) al 31 de diciembre de 2015 no inferior al 69% del monto del contrato previsto por Fogacoop Se determina con la sumatoria del capital de trabajo de cada uno de los integrantes del consorcio o unión temporal.</t>
  </si>
  <si>
    <t>Deben poseer un capital de trabajo (activo corriente menos pasivo corriente) al 30 de septiembre de 2016, no inferiores al 69% del contrato previsto por Fogacoop.</t>
  </si>
  <si>
    <t>EVALUACION DE LOS REQUISITOS FINANCIEROS HABILITANTES INV. PUBLICA 05 DE 2016</t>
  </si>
  <si>
    <t>Valor del Contrato</t>
  </si>
  <si>
    <t>$1.296.830.670</t>
  </si>
  <si>
    <t>Objeto:
El Fondo de Garantías de Entidades Cooperativas – FOGACOOP - está interesado en adquirir una Solución Empresarial que cubra los siguientes componentes: 1. Portal WEB de Fogacoop 2. Intranet de Fogacoop 3. Sistema de Información de Gestión de Documentos Electrónicos de Archivo (SGDEA), incluyendo el módulo de PQRD y los servicios de Oficina Postal Electrónica (Correo certificado electrónico, firmas digitales y estampado de tiempo) 4. Herramienta(s) de Modelamiento y Gestión de Flujos de trabajo y Generador de formularios electrónicos.</t>
  </si>
  <si>
    <t>INVITACIÓN PÚBLICA No. 05 DE 2016</t>
  </si>
  <si>
    <t>CAPITAL SOCIAL</t>
  </si>
  <si>
    <t>No deben evidenciar pérdidas al cierre de los dos (4) últimos ejercicios anuales.</t>
  </si>
  <si>
    <t>Resultado</t>
  </si>
  <si>
    <t>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</si>
</sst>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##,##0"/>
    <numFmt numFmtId="167" formatCode="_-* #,##0.00\ [$€-C0A]_-;\-* #,##0.00\ [$€-C0A]_-;_-* &quot;-&quot;??\ [$€-C0A]_-;_-@_-"/>
  </numFmts>
  <fonts count="11" x14ac:knownFonts="1">
    <font>
      <sz val="10"/>
      <name val="Arial"/>
    </font>
    <font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.5"/>
      <color theme="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/>
    <xf numFmtId="0" fontId="3" fillId="0" borderId="7" xfId="0" applyFont="1" applyFill="1" applyBorder="1"/>
    <xf numFmtId="0" fontId="2" fillId="0" borderId="0" xfId="0" applyFont="1"/>
    <xf numFmtId="0" fontId="3" fillId="0" borderId="6" xfId="0" applyFont="1" applyFill="1" applyBorder="1"/>
    <xf numFmtId="0" fontId="3" fillId="0" borderId="5" xfId="0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3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5" fontId="2" fillId="2" borderId="14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3" fontId="3" fillId="0" borderId="14" xfId="2" applyNumberFormat="1" applyFont="1" applyBorder="1"/>
    <xf numFmtId="10" fontId="3" fillId="0" borderId="1" xfId="3" applyNumberFormat="1" applyFont="1" applyBorder="1"/>
    <xf numFmtId="0" fontId="3" fillId="0" borderId="2" xfId="4" applyFont="1" applyBorder="1"/>
    <xf numFmtId="0" fontId="3" fillId="0" borderId="2" xfId="4" applyFont="1" applyFill="1" applyBorder="1"/>
    <xf numFmtId="0" fontId="3" fillId="0" borderId="0" xfId="0" applyFont="1" applyFill="1"/>
    <xf numFmtId="15" fontId="2" fillId="2" borderId="23" xfId="0" applyNumberFormat="1" applyFont="1" applyFill="1" applyBorder="1" applyAlignment="1">
      <alignment horizontal="center" vertical="center" wrapText="1"/>
    </xf>
    <xf numFmtId="15" fontId="2" fillId="2" borderId="24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3" fillId="0" borderId="25" xfId="0" applyNumberFormat="1" applyFont="1" applyBorder="1" applyAlignment="1">
      <alignment horizontal="justify" vertical="top"/>
    </xf>
    <xf numFmtId="10" fontId="3" fillId="0" borderId="7" xfId="0" applyNumberFormat="1" applyFont="1" applyBorder="1" applyAlignment="1">
      <alignment horizontal="justify" vertical="top"/>
    </xf>
    <xf numFmtId="3" fontId="3" fillId="0" borderId="0" xfId="0" applyNumberFormat="1" applyFont="1" applyBorder="1" applyAlignment="1">
      <alignment horizontal="justify" vertical="top"/>
    </xf>
    <xf numFmtId="10" fontId="3" fillId="0" borderId="0" xfId="0" applyNumberFormat="1" applyFont="1" applyBorder="1" applyAlignment="1">
      <alignment horizontal="justify" vertical="top"/>
    </xf>
    <xf numFmtId="10" fontId="3" fillId="0" borderId="26" xfId="0" applyNumberFormat="1" applyFont="1" applyBorder="1" applyAlignment="1">
      <alignment horizontal="justify" vertical="top" wrapText="1"/>
    </xf>
    <xf numFmtId="3" fontId="3" fillId="0" borderId="27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10" fontId="3" fillId="0" borderId="16" xfId="0" applyNumberFormat="1" applyFont="1" applyBorder="1" applyAlignment="1">
      <alignment horizontal="justify" vertical="top" wrapText="1"/>
    </xf>
    <xf numFmtId="0" fontId="9" fillId="0" borderId="0" xfId="0" applyFont="1"/>
    <xf numFmtId="10" fontId="3" fillId="0" borderId="0" xfId="2" applyNumberFormat="1" applyFont="1" applyBorder="1" applyAlignment="1">
      <alignment horizontal="center" vertical="center"/>
    </xf>
    <xf numFmtId="10" fontId="3" fillId="0" borderId="0" xfId="3" applyNumberFormat="1" applyFont="1" applyBorder="1"/>
    <xf numFmtId="167" fontId="3" fillId="0" borderId="5" xfId="5" applyNumberFormat="1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28" xfId="0" applyFont="1" applyBorder="1" applyAlignment="1">
      <alignment horizontal="center" vertical="center" wrapText="1"/>
    </xf>
    <xf numFmtId="166" fontId="3" fillId="0" borderId="0" xfId="0" applyNumberFormat="1" applyFont="1"/>
    <xf numFmtId="0" fontId="3" fillId="0" borderId="33" xfId="4" applyFont="1" applyFill="1" applyBorder="1"/>
    <xf numFmtId="0" fontId="3" fillId="0" borderId="33" xfId="0" applyFont="1" applyBorder="1"/>
    <xf numFmtId="10" fontId="3" fillId="0" borderId="33" xfId="3" applyNumberFormat="1" applyFont="1" applyBorder="1"/>
    <xf numFmtId="3" fontId="3" fillId="0" borderId="33" xfId="2" applyNumberFormat="1" applyFont="1" applyFill="1" applyBorder="1"/>
    <xf numFmtId="3" fontId="3" fillId="0" borderId="33" xfId="2" applyNumberFormat="1" applyFont="1" applyBorder="1"/>
    <xf numFmtId="10" fontId="3" fillId="0" borderId="34" xfId="3" applyNumberFormat="1" applyFont="1" applyBorder="1"/>
    <xf numFmtId="0" fontId="3" fillId="0" borderId="14" xfId="4" applyFont="1" applyFill="1" applyBorder="1"/>
    <xf numFmtId="0" fontId="3" fillId="0" borderId="14" xfId="0" applyFont="1" applyBorder="1"/>
    <xf numFmtId="10" fontId="3" fillId="0" borderId="0" xfId="0" applyNumberFormat="1" applyFont="1" applyBorder="1" applyAlignment="1">
      <alignment horizontal="justify" vertical="top" wrapText="1"/>
    </xf>
    <xf numFmtId="10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justify" vertical="top"/>
    </xf>
    <xf numFmtId="10" fontId="3" fillId="0" borderId="5" xfId="0" applyNumberFormat="1" applyFont="1" applyBorder="1" applyAlignment="1">
      <alignment horizontal="justify" vertical="top"/>
    </xf>
    <xf numFmtId="166" fontId="3" fillId="5" borderId="14" xfId="2" applyNumberFormat="1" applyFont="1" applyFill="1" applyBorder="1"/>
    <xf numFmtId="3" fontId="3" fillId="5" borderId="14" xfId="2" applyNumberFormat="1" applyFont="1" applyFill="1" applyBorder="1"/>
    <xf numFmtId="0" fontId="3" fillId="5" borderId="14" xfId="0" applyFont="1" applyFill="1" applyBorder="1"/>
    <xf numFmtId="166" fontId="3" fillId="5" borderId="2" xfId="2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7" fillId="2" borderId="3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6">
    <cellStyle name="Millares" xfId="2" builtinId="3"/>
    <cellStyle name="Moneda" xfId="5" builtinId="4"/>
    <cellStyle name="Normal" xfId="0" builtinId="0"/>
    <cellStyle name="Normal 3" xfId="4"/>
    <cellStyle name="Normal_CALIFICACION" xfId="1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19050</xdr:rowOff>
        </xdr:from>
        <xdr:to>
          <xdr:col>0</xdr:col>
          <xdr:colOff>2924175</xdr:colOff>
          <xdr:row>3</xdr:row>
          <xdr:rowOff>333375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4503420</xdr:colOff>
      <xdr:row>0</xdr:row>
      <xdr:rowOff>45720</xdr:rowOff>
    </xdr:from>
    <xdr:to>
      <xdr:col>2</xdr:col>
      <xdr:colOff>227330</xdr:colOff>
      <xdr:row>3</xdr:row>
      <xdr:rowOff>335280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45720"/>
          <a:ext cx="2608580" cy="1021080"/>
        </a:xfrm>
        <a:prstGeom prst="rect">
          <a:avLst/>
        </a:prstGeom>
      </xdr:spPr>
    </xdr:pic>
    <xdr:clientData/>
  </xdr:twoCellAnchor>
  <xdr:oneCellAnchor>
    <xdr:from>
      <xdr:col>2</xdr:col>
      <xdr:colOff>4503420</xdr:colOff>
      <xdr:row>0</xdr:row>
      <xdr:rowOff>45720</xdr:rowOff>
    </xdr:from>
    <xdr:ext cx="2604770" cy="1021080"/>
    <xdr:pic>
      <xdr:nvPicPr>
        <xdr:cNvPr id="4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45720"/>
          <a:ext cx="2604770" cy="10210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7" workbookViewId="0">
      <selection activeCell="A45" sqref="A45"/>
    </sheetView>
  </sheetViews>
  <sheetFormatPr baseColWidth="10" defaultColWidth="11.42578125" defaultRowHeight="13.5" x14ac:dyDescent="0.2"/>
  <cols>
    <col min="1" max="1" width="90.7109375" style="1" customWidth="1"/>
    <col min="2" max="2" width="9.7109375" style="1" customWidth="1"/>
    <col min="3" max="3" width="10.85546875" style="1" customWidth="1"/>
    <col min="4" max="4" width="9.7109375" style="1" customWidth="1"/>
    <col min="5" max="5" width="10.85546875" style="1" customWidth="1"/>
    <col min="6" max="6" width="11.42578125" style="1"/>
    <col min="7" max="7" width="14.140625" style="1" bestFit="1" customWidth="1"/>
    <col min="8" max="16384" width="11.42578125" style="1"/>
  </cols>
  <sheetData>
    <row r="1" spans="1:7" ht="30" x14ac:dyDescent="0.4">
      <c r="A1" s="20"/>
      <c r="B1" s="20"/>
      <c r="C1" s="20"/>
      <c r="D1" s="20"/>
      <c r="E1" s="20"/>
    </row>
    <row r="2" spans="1:7" x14ac:dyDescent="0.2">
      <c r="A2" s="21"/>
      <c r="B2" s="21"/>
      <c r="C2" s="21"/>
      <c r="D2" s="21"/>
      <c r="E2" s="21"/>
    </row>
    <row r="3" spans="1:7" x14ac:dyDescent="0.2">
      <c r="A3" s="21"/>
      <c r="B3" s="21"/>
      <c r="C3" s="21"/>
      <c r="D3" s="21"/>
      <c r="E3" s="21"/>
    </row>
    <row r="4" spans="1:7" ht="34.5" customHeight="1" x14ac:dyDescent="0.2">
      <c r="A4" s="22"/>
      <c r="B4" s="22"/>
      <c r="C4" s="22"/>
      <c r="D4" s="22"/>
      <c r="E4" s="22"/>
    </row>
    <row r="5" spans="1:7" x14ac:dyDescent="0.2">
      <c r="A5" s="88" t="s">
        <v>61</v>
      </c>
      <c r="B5" s="88"/>
      <c r="C5" s="88"/>
      <c r="D5" s="88"/>
      <c r="E5" s="88"/>
    </row>
    <row r="6" spans="1:7" x14ac:dyDescent="0.2">
      <c r="A6" s="89" t="s">
        <v>5</v>
      </c>
      <c r="B6" s="89"/>
      <c r="C6" s="89"/>
      <c r="D6" s="89"/>
      <c r="E6" s="89"/>
    </row>
    <row r="7" spans="1:7" ht="14.25" thickBot="1" x14ac:dyDescent="0.25">
      <c r="A7" s="19"/>
      <c r="B7" s="16"/>
      <c r="C7" s="16"/>
      <c r="D7" s="16"/>
      <c r="E7" s="16"/>
    </row>
    <row r="8" spans="1:7" ht="57.75" customHeight="1" thickBot="1" x14ac:dyDescent="0.25">
      <c r="A8" s="35" t="s">
        <v>10</v>
      </c>
      <c r="B8" s="84" t="s">
        <v>17</v>
      </c>
      <c r="C8" s="84"/>
      <c r="D8" s="84" t="s">
        <v>18</v>
      </c>
      <c r="E8" s="84"/>
    </row>
    <row r="9" spans="1:7" ht="14.25" thickBot="1" x14ac:dyDescent="0.25">
      <c r="B9" s="86" t="s">
        <v>0</v>
      </c>
      <c r="C9" s="87"/>
      <c r="D9" s="85" t="s">
        <v>0</v>
      </c>
      <c r="E9" s="85"/>
      <c r="G9" s="15"/>
    </row>
    <row r="10" spans="1:7" ht="14.25" thickBot="1" x14ac:dyDescent="0.25">
      <c r="A10" s="25" t="s">
        <v>15</v>
      </c>
      <c r="B10" s="36" t="s">
        <v>1</v>
      </c>
      <c r="C10" s="36" t="s">
        <v>2</v>
      </c>
      <c r="D10" s="36" t="s">
        <v>1</v>
      </c>
      <c r="E10" s="37" t="s">
        <v>2</v>
      </c>
      <c r="G10" s="15"/>
    </row>
    <row r="11" spans="1:7" ht="14.25" hidden="1" thickBot="1" x14ac:dyDescent="0.25">
      <c r="A11" s="10" t="s">
        <v>3</v>
      </c>
      <c r="B11" s="17"/>
      <c r="C11" s="23"/>
      <c r="D11" s="17"/>
      <c r="E11" s="23"/>
    </row>
    <row r="12" spans="1:7" ht="14.25" hidden="1" thickBot="1" x14ac:dyDescent="0.25">
      <c r="A12" s="10" t="s">
        <v>13</v>
      </c>
      <c r="B12" s="18"/>
      <c r="C12" s="24"/>
      <c r="D12" s="18"/>
      <c r="E12" s="24"/>
    </row>
    <row r="13" spans="1:7" ht="14.25" hidden="1" thickBot="1" x14ac:dyDescent="0.25">
      <c r="A13" s="10" t="s">
        <v>14</v>
      </c>
      <c r="B13" s="17"/>
      <c r="C13" s="23"/>
      <c r="D13" s="17"/>
      <c r="E13" s="23"/>
    </row>
    <row r="14" spans="1:7" ht="14.25" hidden="1" thickBot="1" x14ac:dyDescent="0.25">
      <c r="A14" s="10" t="s">
        <v>6</v>
      </c>
      <c r="B14" s="18"/>
      <c r="C14" s="24"/>
      <c r="D14" s="18"/>
      <c r="E14" s="24"/>
    </row>
    <row r="15" spans="1:7" ht="14.25" hidden="1" thickBot="1" x14ac:dyDescent="0.25">
      <c r="A15" s="10" t="s">
        <v>7</v>
      </c>
      <c r="B15" s="17"/>
      <c r="C15" s="23"/>
      <c r="D15" s="17"/>
      <c r="E15" s="23"/>
    </row>
    <row r="16" spans="1:7" ht="14.25" hidden="1" thickBot="1" x14ac:dyDescent="0.25">
      <c r="A16" s="10" t="s">
        <v>8</v>
      </c>
      <c r="B16" s="18"/>
      <c r="C16" s="24"/>
      <c r="D16" s="18"/>
      <c r="E16" s="24"/>
    </row>
    <row r="17" spans="1:5" ht="14.25" hidden="1" thickBot="1" x14ac:dyDescent="0.25">
      <c r="A17" s="10" t="s">
        <v>9</v>
      </c>
      <c r="B17" s="18"/>
      <c r="C17" s="24"/>
      <c r="D17" s="18"/>
      <c r="E17" s="24"/>
    </row>
    <row r="18" spans="1:5" ht="14.25" hidden="1" thickBot="1" x14ac:dyDescent="0.25">
      <c r="A18" s="10" t="s">
        <v>12</v>
      </c>
      <c r="B18" s="17"/>
      <c r="C18" s="23"/>
      <c r="D18" s="17"/>
      <c r="E18" s="23"/>
    </row>
    <row r="19" spans="1:5" ht="14.25" hidden="1" thickBot="1" x14ac:dyDescent="0.25">
      <c r="A19" s="10" t="s">
        <v>11</v>
      </c>
      <c r="B19" s="17"/>
      <c r="C19" s="23"/>
      <c r="D19" s="17"/>
      <c r="E19" s="23"/>
    </row>
    <row r="20" spans="1:5" x14ac:dyDescent="0.2">
      <c r="A20" s="9" t="s">
        <v>33</v>
      </c>
      <c r="B20" s="4" t="s">
        <v>4</v>
      </c>
      <c r="C20" s="5"/>
      <c r="D20" s="4" t="s">
        <v>4</v>
      </c>
      <c r="E20" s="5"/>
    </row>
    <row r="21" spans="1:5" x14ac:dyDescent="0.2">
      <c r="A21" s="7" t="s">
        <v>19</v>
      </c>
      <c r="B21" s="3" t="s">
        <v>4</v>
      </c>
      <c r="C21" s="2"/>
      <c r="D21" s="3" t="s">
        <v>4</v>
      </c>
      <c r="E21" s="2"/>
    </row>
    <row r="22" spans="1:5" x14ac:dyDescent="0.2">
      <c r="A22" s="7" t="s">
        <v>20</v>
      </c>
      <c r="B22" s="3" t="s">
        <v>4</v>
      </c>
      <c r="C22" s="2"/>
      <c r="D22" s="3" t="s">
        <v>4</v>
      </c>
      <c r="E22" s="2"/>
    </row>
    <row r="23" spans="1:5" ht="14.25" thickBot="1" x14ac:dyDescent="0.25">
      <c r="A23" s="6" t="s">
        <v>21</v>
      </c>
      <c r="B23" s="3" t="s">
        <v>4</v>
      </c>
      <c r="C23" s="2"/>
      <c r="D23" s="3" t="s">
        <v>4</v>
      </c>
      <c r="E23" s="2"/>
    </row>
    <row r="24" spans="1:5" ht="14.25" thickBot="1" x14ac:dyDescent="0.25">
      <c r="A24" s="26" t="s">
        <v>16</v>
      </c>
      <c r="B24" s="36" t="s">
        <v>1</v>
      </c>
      <c r="C24" s="36" t="s">
        <v>2</v>
      </c>
      <c r="D24" s="36" t="s">
        <v>1</v>
      </c>
      <c r="E24" s="37" t="s">
        <v>2</v>
      </c>
    </row>
    <row r="25" spans="1:5" ht="39" thickBot="1" x14ac:dyDescent="0.25">
      <c r="A25" s="38" t="s">
        <v>22</v>
      </c>
      <c r="B25" s="30" t="s">
        <v>4</v>
      </c>
      <c r="C25" s="31"/>
      <c r="D25" s="32" t="s">
        <v>4</v>
      </c>
      <c r="E25" s="31"/>
    </row>
    <row r="26" spans="1:5" ht="39" thickBot="1" x14ac:dyDescent="0.25">
      <c r="A26" s="39" t="s">
        <v>23</v>
      </c>
      <c r="B26" s="11" t="s">
        <v>4</v>
      </c>
      <c r="C26" s="12"/>
      <c r="D26" s="33" t="s">
        <v>4</v>
      </c>
      <c r="E26" s="12"/>
    </row>
    <row r="27" spans="1:5" ht="26.25" thickBot="1" x14ac:dyDescent="0.25">
      <c r="A27" s="39" t="s">
        <v>24</v>
      </c>
      <c r="B27" s="11" t="s">
        <v>4</v>
      </c>
      <c r="C27" s="12"/>
      <c r="D27" s="33" t="s">
        <v>4</v>
      </c>
      <c r="E27" s="12"/>
    </row>
    <row r="28" spans="1:5" ht="14.25" thickBot="1" x14ac:dyDescent="0.25">
      <c r="A28" s="49" t="s">
        <v>49</v>
      </c>
      <c r="B28" s="11"/>
      <c r="C28" s="12"/>
      <c r="D28" s="33" t="s">
        <v>4</v>
      </c>
      <c r="E28" s="12"/>
    </row>
    <row r="29" spans="1:5" ht="26.25" thickBot="1" x14ac:dyDescent="0.25">
      <c r="A29" s="28" t="s">
        <v>25</v>
      </c>
      <c r="B29" s="11" t="s">
        <v>4</v>
      </c>
      <c r="C29" s="12"/>
      <c r="D29" s="33" t="s">
        <v>4</v>
      </c>
      <c r="E29" s="12"/>
    </row>
    <row r="30" spans="1:5" ht="26.25" thickBot="1" x14ac:dyDescent="0.25">
      <c r="A30" s="28" t="s">
        <v>26</v>
      </c>
      <c r="B30" s="11" t="s">
        <v>4</v>
      </c>
      <c r="C30" s="12"/>
      <c r="D30" s="33" t="s">
        <v>4</v>
      </c>
      <c r="E30" s="12"/>
    </row>
    <row r="31" spans="1:5" ht="26.25" thickBot="1" x14ac:dyDescent="0.25">
      <c r="A31" s="28" t="s">
        <v>27</v>
      </c>
      <c r="B31" s="11" t="s">
        <v>4</v>
      </c>
      <c r="C31" s="12"/>
      <c r="D31" s="33" t="s">
        <v>4</v>
      </c>
      <c r="E31" s="12"/>
    </row>
    <row r="32" spans="1:5" ht="26.25" thickBot="1" x14ac:dyDescent="0.25">
      <c r="A32" s="28" t="s">
        <v>28</v>
      </c>
      <c r="B32" s="11" t="s">
        <v>4</v>
      </c>
      <c r="C32" s="12"/>
      <c r="D32" s="33" t="s">
        <v>4</v>
      </c>
      <c r="E32" s="12"/>
    </row>
    <row r="33" spans="1:5" ht="26.25" thickBot="1" x14ac:dyDescent="0.25">
      <c r="A33" s="28" t="s">
        <v>29</v>
      </c>
      <c r="B33" s="11" t="s">
        <v>4</v>
      </c>
      <c r="C33" s="12"/>
      <c r="D33" s="33" t="s">
        <v>4</v>
      </c>
      <c r="E33" s="12"/>
    </row>
    <row r="34" spans="1:5" ht="26.25" thickBot="1" x14ac:dyDescent="0.25">
      <c r="A34" s="27" t="s">
        <v>30</v>
      </c>
      <c r="B34" s="11" t="s">
        <v>4</v>
      </c>
      <c r="C34" s="12"/>
      <c r="D34" s="33" t="s">
        <v>4</v>
      </c>
      <c r="E34" s="12"/>
    </row>
    <row r="35" spans="1:5" ht="14.25" thickBot="1" x14ac:dyDescent="0.25">
      <c r="A35" s="27" t="s">
        <v>31</v>
      </c>
      <c r="B35" s="11" t="s">
        <v>4</v>
      </c>
      <c r="C35" s="12"/>
      <c r="D35" s="33" t="s">
        <v>4</v>
      </c>
      <c r="E35" s="12"/>
    </row>
    <row r="36" spans="1:5" ht="14.25" thickBot="1" x14ac:dyDescent="0.25">
      <c r="A36" s="27" t="s">
        <v>32</v>
      </c>
      <c r="B36" s="13" t="s">
        <v>4</v>
      </c>
      <c r="C36" s="14"/>
      <c r="D36" s="34" t="s">
        <v>4</v>
      </c>
      <c r="E36" s="14"/>
    </row>
    <row r="37" spans="1:5" x14ac:dyDescent="0.2">
      <c r="A37" s="29"/>
    </row>
    <row r="38" spans="1:5" x14ac:dyDescent="0.2">
      <c r="A38" s="29"/>
    </row>
    <row r="39" spans="1:5" x14ac:dyDescent="0.2">
      <c r="A39" s="29"/>
    </row>
  </sheetData>
  <mergeCells count="6">
    <mergeCell ref="D8:E8"/>
    <mergeCell ref="D9:E9"/>
    <mergeCell ref="B8:C8"/>
    <mergeCell ref="B9:C9"/>
    <mergeCell ref="A5:E5"/>
    <mergeCell ref="A6:E6"/>
  </mergeCells>
  <phoneticPr fontId="0" type="noConversion"/>
  <printOptions horizontalCentered="1" verticalCentered="1"/>
  <pageMargins left="0.74803149606299213" right="0.74803149606299213" top="0.43307086614173229" bottom="0.47244094488188981" header="0" footer="0"/>
  <pageSetup scale="73" orientation="landscape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19050</xdr:rowOff>
              </from>
              <to>
                <xdr:col>0</xdr:col>
                <xdr:colOff>2924175</xdr:colOff>
                <xdr:row>3</xdr:row>
                <xdr:rowOff>333375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28" zoomScaleNormal="100" workbookViewId="0">
      <selection activeCell="A32" sqref="A32:XFD44"/>
    </sheetView>
  </sheetViews>
  <sheetFormatPr baseColWidth="10" defaultRowHeight="12.75" x14ac:dyDescent="0.2"/>
  <cols>
    <col min="1" max="1" width="64.7109375" customWidth="1"/>
    <col min="2" max="4" width="10.7109375" customWidth="1"/>
    <col min="5" max="5" width="11.7109375" customWidth="1"/>
    <col min="6" max="13" width="10.7109375" customWidth="1"/>
    <col min="14" max="14" width="33.140625" customWidth="1"/>
  </cols>
  <sheetData>
    <row r="1" spans="1:14" s="1" customFormat="1" ht="50.45" customHeight="1" thickBot="1" x14ac:dyDescent="0.25">
      <c r="A1" s="92" t="s">
        <v>57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4" s="1" customFormat="1" ht="69.599999999999994" customHeight="1" thickTop="1" thickBot="1" x14ac:dyDescent="0.25">
      <c r="A2" s="93" t="s">
        <v>60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4" s="1" customFormat="1" ht="54" customHeight="1" thickTop="1" thickBot="1" x14ac:dyDescent="0.25">
      <c r="A3" s="64" t="s">
        <v>58</v>
      </c>
      <c r="B3" s="96" t="s">
        <v>59</v>
      </c>
      <c r="C3" s="96"/>
      <c r="D3" s="97"/>
      <c r="E3" s="63"/>
      <c r="F3" s="63"/>
      <c r="G3" s="63"/>
      <c r="H3" s="63"/>
      <c r="I3" s="63"/>
      <c r="J3" s="63"/>
      <c r="K3" s="63"/>
      <c r="L3" s="63"/>
      <c r="M3" s="63"/>
    </row>
    <row r="4" spans="1:14" s="1" customFormat="1" ht="14.25" thickTop="1" x14ac:dyDescent="0.2">
      <c r="H4" s="1" t="s">
        <v>34</v>
      </c>
      <c r="M4" s="59">
        <v>1000000</v>
      </c>
    </row>
    <row r="5" spans="1:14" s="1" customFormat="1" ht="18" customHeight="1" x14ac:dyDescent="0.25">
      <c r="B5" s="91" t="s">
        <v>48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4" s="1" customFormat="1" ht="18" customHeight="1" x14ac:dyDescent="0.2">
      <c r="B6" s="90" t="s">
        <v>53</v>
      </c>
      <c r="C6" s="90"/>
      <c r="D6" s="90"/>
      <c r="E6" s="90"/>
      <c r="F6" s="90"/>
      <c r="G6" s="90"/>
      <c r="H6" s="90" t="s">
        <v>54</v>
      </c>
      <c r="I6" s="90"/>
      <c r="J6" s="90"/>
      <c r="K6" s="90"/>
      <c r="L6" s="90"/>
      <c r="M6" s="90"/>
    </row>
    <row r="7" spans="1:14" s="1" customFormat="1" ht="27" x14ac:dyDescent="0.2">
      <c r="B7" s="40">
        <v>42643</v>
      </c>
      <c r="C7" s="40">
        <v>42369</v>
      </c>
      <c r="D7" s="40">
        <v>42004</v>
      </c>
      <c r="E7" s="40">
        <v>41639</v>
      </c>
      <c r="F7" s="40" t="s">
        <v>35</v>
      </c>
      <c r="G7" s="41" t="s">
        <v>36</v>
      </c>
      <c r="H7" s="40">
        <v>42643</v>
      </c>
      <c r="I7" s="40">
        <v>42369</v>
      </c>
      <c r="J7" s="40">
        <v>42004</v>
      </c>
      <c r="K7" s="40">
        <v>41639</v>
      </c>
      <c r="L7" s="40" t="s">
        <v>35</v>
      </c>
      <c r="M7" s="41" t="s">
        <v>36</v>
      </c>
    </row>
    <row r="8" spans="1:14" s="1" customFormat="1" ht="13.5" x14ac:dyDescent="0.2">
      <c r="A8" s="44" t="s">
        <v>37</v>
      </c>
      <c r="B8" s="80">
        <f>58023028263.9/M4</f>
        <v>58023.0282639</v>
      </c>
      <c r="C8" s="80">
        <v>66984</v>
      </c>
      <c r="D8" s="81">
        <v>49170.025000000001</v>
      </c>
      <c r="E8" s="81">
        <v>34672.839</v>
      </c>
      <c r="F8" s="42">
        <f>+D8-E8</f>
        <v>14497.186000000002</v>
      </c>
      <c r="G8" s="43">
        <f>+D8/E8-1</f>
        <v>0.41811361336751229</v>
      </c>
      <c r="H8" s="80">
        <f>2668043157/M4</f>
        <v>2668.0431570000001</v>
      </c>
      <c r="I8" s="81">
        <f>1853388590/M4</f>
        <v>1853.38859</v>
      </c>
      <c r="J8" s="81">
        <f>2620608422/M4</f>
        <v>2620.6084219999998</v>
      </c>
      <c r="K8" s="81">
        <f>2194254528/M4</f>
        <v>2194.2545279999999</v>
      </c>
      <c r="L8" s="42">
        <f>+J8-K8</f>
        <v>426.35389399999985</v>
      </c>
      <c r="M8" s="43">
        <f>+J8/K8-1</f>
        <v>0.19430466637277899</v>
      </c>
    </row>
    <row r="9" spans="1:14" s="1" customFormat="1" ht="13.5" x14ac:dyDescent="0.2">
      <c r="A9" s="44" t="s">
        <v>38</v>
      </c>
      <c r="B9" s="80">
        <f>41552019103.18/M4</f>
        <v>41552.019103179999</v>
      </c>
      <c r="C9" s="80">
        <v>44007</v>
      </c>
      <c r="D9" s="81">
        <v>31890.416000000001</v>
      </c>
      <c r="E9" s="81">
        <v>22412.843000000001</v>
      </c>
      <c r="F9" s="42">
        <f t="shared" ref="F9:F19" si="0">+D9-E9</f>
        <v>9477.5730000000003</v>
      </c>
      <c r="G9" s="43">
        <f t="shared" ref="G9:G18" si="1">+D9/E9-1</f>
        <v>0.42286348947342378</v>
      </c>
      <c r="H9" s="80">
        <f>1763811501/M4</f>
        <v>1763.8115009999999</v>
      </c>
      <c r="I9" s="81">
        <f>908490745/M4</f>
        <v>908.49074499999995</v>
      </c>
      <c r="J9" s="81">
        <f>1720910260/M4</f>
        <v>1720.9102600000001</v>
      </c>
      <c r="K9" s="81">
        <f>1331590110/M4</f>
        <v>1331.5901100000001</v>
      </c>
      <c r="L9" s="42">
        <f t="shared" ref="L9:L18" si="2">+J9-K9</f>
        <v>389.32015000000001</v>
      </c>
      <c r="M9" s="43">
        <f t="shared" ref="M9:M18" si="3">+J9/K9-1</f>
        <v>0.29237236524684018</v>
      </c>
    </row>
    <row r="10" spans="1:14" s="1" customFormat="1" ht="13.5" x14ac:dyDescent="0.2">
      <c r="A10" s="44" t="s">
        <v>39</v>
      </c>
      <c r="B10" s="80">
        <f>68160364991.7/M4</f>
        <v>68160.3649917</v>
      </c>
      <c r="C10" s="81">
        <v>75938</v>
      </c>
      <c r="D10" s="81">
        <v>55523.678</v>
      </c>
      <c r="E10" s="81">
        <v>39143.311999999998</v>
      </c>
      <c r="F10" s="42">
        <f t="shared" si="0"/>
        <v>16380.366000000002</v>
      </c>
      <c r="G10" s="43">
        <f t="shared" si="1"/>
        <v>0.41847164082589638</v>
      </c>
      <c r="H10" s="80">
        <f>3416276978/M4</f>
        <v>3416.2769779999999</v>
      </c>
      <c r="I10" s="81">
        <f>2631940568/M4</f>
        <v>2631.940568</v>
      </c>
      <c r="J10" s="81">
        <f>3468717959/M4</f>
        <v>3468.7179590000001</v>
      </c>
      <c r="K10" s="81">
        <f>2811100498/M4</f>
        <v>2811.1004979999998</v>
      </c>
      <c r="L10" s="42">
        <f t="shared" si="2"/>
        <v>657.61746100000028</v>
      </c>
      <c r="M10" s="43">
        <f t="shared" si="3"/>
        <v>0.2339359483831589</v>
      </c>
      <c r="N10" s="65"/>
    </row>
    <row r="11" spans="1:14" s="1" customFormat="1" ht="13.5" x14ac:dyDescent="0.2">
      <c r="A11" s="44" t="s">
        <v>40</v>
      </c>
      <c r="B11" s="80">
        <f>44107795289.04/M4</f>
        <v>44107.795289039997</v>
      </c>
      <c r="C11" s="81">
        <v>52731</v>
      </c>
      <c r="D11" s="81">
        <v>35904.741000000002</v>
      </c>
      <c r="E11" s="81">
        <v>25345.062999999998</v>
      </c>
      <c r="F11" s="42">
        <f t="shared" si="0"/>
        <v>10559.678000000004</v>
      </c>
      <c r="G11" s="43">
        <f t="shared" si="1"/>
        <v>0.41663648656150531</v>
      </c>
      <c r="H11" s="80">
        <f>1920700336/M4</f>
        <v>1920.7003360000001</v>
      </c>
      <c r="I11" s="81">
        <f>1181500389/M4</f>
        <v>1181.500389</v>
      </c>
      <c r="J11" s="81">
        <f>2235206912/M4</f>
        <v>2235.2069120000001</v>
      </c>
      <c r="K11" s="81">
        <f>1806309110/M4</f>
        <v>1806.3091099999999</v>
      </c>
      <c r="L11" s="42">
        <f t="shared" si="2"/>
        <v>428.89780200000018</v>
      </c>
      <c r="M11" s="43">
        <f t="shared" si="3"/>
        <v>0.23744429988508453</v>
      </c>
      <c r="N11" s="65"/>
    </row>
    <row r="12" spans="1:14" s="46" customFormat="1" ht="13.5" x14ac:dyDescent="0.2">
      <c r="A12" s="45" t="s">
        <v>41</v>
      </c>
      <c r="B12" s="80">
        <f>24052569702.66/M4</f>
        <v>24052.569702659999</v>
      </c>
      <c r="C12" s="81">
        <v>23207</v>
      </c>
      <c r="D12" s="81">
        <v>19618.937000000002</v>
      </c>
      <c r="E12" s="81">
        <v>13798.249</v>
      </c>
      <c r="F12" s="42">
        <f t="shared" si="0"/>
        <v>5820.6880000000019</v>
      </c>
      <c r="G12" s="43">
        <f t="shared" si="1"/>
        <v>0.42184251059681577</v>
      </c>
      <c r="H12" s="80">
        <f>1495576642/M4</f>
        <v>1495.576642</v>
      </c>
      <c r="I12" s="81">
        <f>1450440179/M4</f>
        <v>1450.4401789999999</v>
      </c>
      <c r="J12" s="81">
        <f>1233511047/M4</f>
        <v>1233.511047</v>
      </c>
      <c r="K12" s="81">
        <f>1004791388/M4</f>
        <v>1004.791388</v>
      </c>
      <c r="L12" s="42">
        <f t="shared" si="2"/>
        <v>228.71965899999998</v>
      </c>
      <c r="M12" s="43">
        <f t="shared" si="3"/>
        <v>0.22762900014027587</v>
      </c>
    </row>
    <row r="13" spans="1:14" s="1" customFormat="1" ht="13.5" x14ac:dyDescent="0.2">
      <c r="A13" s="44" t="s">
        <v>42</v>
      </c>
      <c r="B13" s="80">
        <f>42638387357.37/M4</f>
        <v>42638.387357370004</v>
      </c>
      <c r="C13" s="81">
        <v>60183</v>
      </c>
      <c r="D13" s="81">
        <v>44255.728999999999</v>
      </c>
      <c r="E13" s="81">
        <v>29518.327000000001</v>
      </c>
      <c r="F13" s="42">
        <f t="shared" si="0"/>
        <v>14737.401999999998</v>
      </c>
      <c r="G13" s="43">
        <f t="shared" si="1"/>
        <v>0.49926278003492541</v>
      </c>
      <c r="H13" s="80">
        <f>1258251429/M4</f>
        <v>1258.2514289999999</v>
      </c>
      <c r="I13" s="81">
        <f>839401498/M4</f>
        <v>839.40149799999995</v>
      </c>
      <c r="J13" s="81">
        <f>866530027/M4</f>
        <v>866.53002700000002</v>
      </c>
      <c r="K13" s="81">
        <f>1359129789/M4</f>
        <v>1359.1297890000001</v>
      </c>
      <c r="L13" s="42">
        <f t="shared" si="2"/>
        <v>-492.59976200000006</v>
      </c>
      <c r="M13" s="43">
        <f t="shared" si="3"/>
        <v>-0.36243761705969058</v>
      </c>
    </row>
    <row r="14" spans="1:14" s="1" customFormat="1" ht="13.5" x14ac:dyDescent="0.2">
      <c r="A14" s="44" t="s">
        <v>43</v>
      </c>
      <c r="B14" s="80">
        <f>6254879227.22/M4</f>
        <v>6254.8792272199998</v>
      </c>
      <c r="C14" s="81">
        <v>8954</v>
      </c>
      <c r="D14" s="81">
        <v>6353.6530000000002</v>
      </c>
      <c r="E14" s="81">
        <v>4470.473</v>
      </c>
      <c r="F14" s="42">
        <f t="shared" si="0"/>
        <v>1883.1800000000003</v>
      </c>
      <c r="G14" s="43">
        <f t="shared" si="1"/>
        <v>0.42124848981304663</v>
      </c>
      <c r="H14" s="80">
        <f>280423358/M4</f>
        <v>280.42335800000001</v>
      </c>
      <c r="I14" s="81">
        <f>299923448/M4</f>
        <v>299.92344800000001</v>
      </c>
      <c r="J14" s="81">
        <f>266823082/M4</f>
        <v>266.823082</v>
      </c>
      <c r="K14" s="81">
        <f>260143206/M4</f>
        <v>260.14320600000002</v>
      </c>
      <c r="L14" s="42">
        <f t="shared" si="2"/>
        <v>6.6798759999999788</v>
      </c>
      <c r="M14" s="43">
        <f t="shared" si="3"/>
        <v>2.5677687696368245E-2</v>
      </c>
    </row>
    <row r="15" spans="1:14" s="1" customFormat="1" ht="13.5" x14ac:dyDescent="0.2">
      <c r="A15" s="44" t="s">
        <v>44</v>
      </c>
      <c r="B15" s="80">
        <f>137279474033.21/M4</f>
        <v>137279.47403321002</v>
      </c>
      <c r="C15" s="81">
        <v>201567</v>
      </c>
      <c r="D15" s="81">
        <v>166049.86600000001</v>
      </c>
      <c r="E15" s="81">
        <v>116255.443</v>
      </c>
      <c r="F15" s="42">
        <f t="shared" si="0"/>
        <v>49794.42300000001</v>
      </c>
      <c r="G15" s="43">
        <f t="shared" si="1"/>
        <v>0.42831906803709829</v>
      </c>
      <c r="H15" s="80">
        <f>5679830187/M4</f>
        <v>5679.8301869999996</v>
      </c>
      <c r="I15" s="81">
        <f>6925860606/M4</f>
        <v>6925.8606060000002</v>
      </c>
      <c r="J15" s="81">
        <f>4907532643/M4</f>
        <v>4907.5326429999996</v>
      </c>
      <c r="K15" s="81">
        <f>4743401023/M4</f>
        <v>4743.4010230000004</v>
      </c>
      <c r="L15" s="42">
        <f t="shared" si="2"/>
        <v>164.1316199999992</v>
      </c>
      <c r="M15" s="43">
        <f t="shared" si="3"/>
        <v>3.4602096513482783E-2</v>
      </c>
    </row>
    <row r="16" spans="1:14" s="1" customFormat="1" ht="13.5" x14ac:dyDescent="0.2">
      <c r="A16" s="45" t="s">
        <v>45</v>
      </c>
      <c r="B16" s="80">
        <f>-4299828332.8/M4</f>
        <v>-4299.8283327999998</v>
      </c>
      <c r="C16" s="81">
        <v>4913</v>
      </c>
      <c r="D16" s="81">
        <v>8062.165</v>
      </c>
      <c r="E16" s="81">
        <v>4771.8770000000004</v>
      </c>
      <c r="F16" s="42">
        <f t="shared" si="0"/>
        <v>3290.2879999999996</v>
      </c>
      <c r="G16" s="43">
        <f t="shared" si="1"/>
        <v>0.68951651519936474</v>
      </c>
      <c r="H16" s="80">
        <f>208936071/M4</f>
        <v>208.936071</v>
      </c>
      <c r="I16" s="81">
        <f>443529080/M4</f>
        <v>443.52908000000002</v>
      </c>
      <c r="J16" s="81">
        <f>286111967/M4</f>
        <v>286.11196699999999</v>
      </c>
      <c r="K16" s="81">
        <f>557890428/M4</f>
        <v>557.89042800000004</v>
      </c>
      <c r="L16" s="42">
        <f t="shared" si="2"/>
        <v>-271.77846100000005</v>
      </c>
      <c r="M16" s="43">
        <f t="shared" si="3"/>
        <v>-0.48715383408585755</v>
      </c>
    </row>
    <row r="17" spans="1:13" s="1" customFormat="1" ht="13.5" x14ac:dyDescent="0.2">
      <c r="A17" s="44" t="s">
        <v>46</v>
      </c>
      <c r="B17" s="81">
        <f>+B15+9832417/M4</f>
        <v>137289.30645021002</v>
      </c>
      <c r="C17" s="81">
        <f>+C15+9741.518</f>
        <v>211308.51800000001</v>
      </c>
      <c r="D17" s="81">
        <f>+D15+6772.412</f>
        <v>172822.27800000002</v>
      </c>
      <c r="E17" s="81">
        <f>+E15+4428.165</f>
        <v>120683.60799999999</v>
      </c>
      <c r="F17" s="42">
        <f t="shared" si="0"/>
        <v>52138.670000000027</v>
      </c>
      <c r="G17" s="43">
        <f t="shared" si="1"/>
        <v>0.4320277696702608</v>
      </c>
      <c r="H17" s="80">
        <f>+H15+10484652/M4</f>
        <v>5690.3148389999997</v>
      </c>
      <c r="I17" s="81">
        <f>+I15+38426709/M4</f>
        <v>6964.2873150000005</v>
      </c>
      <c r="J17" s="81">
        <f>+J15+14146039/M4</f>
        <v>4921.6786819999998</v>
      </c>
      <c r="K17" s="81">
        <f>+K15+20206833/M4</f>
        <v>4763.6078560000005</v>
      </c>
      <c r="L17" s="42">
        <f t="shared" si="2"/>
        <v>158.07082599999922</v>
      </c>
      <c r="M17" s="43">
        <f t="shared" si="3"/>
        <v>3.318300556602316E-2</v>
      </c>
    </row>
    <row r="18" spans="1:13" s="1" customFormat="1" ht="13.5" x14ac:dyDescent="0.2">
      <c r="A18" s="45" t="s">
        <v>47</v>
      </c>
      <c r="B18" s="80">
        <f>845709807.63/M4</f>
        <v>845.70980763</v>
      </c>
      <c r="C18" s="81">
        <v>5088</v>
      </c>
      <c r="D18" s="81">
        <v>7120.6880000000001</v>
      </c>
      <c r="E18" s="81">
        <v>4918.4009999999998</v>
      </c>
      <c r="F18" s="42">
        <f t="shared" si="0"/>
        <v>2202.2870000000003</v>
      </c>
      <c r="G18" s="43">
        <f t="shared" si="1"/>
        <v>0.44776483251365651</v>
      </c>
      <c r="H18" s="83">
        <f>45136932/M4</f>
        <v>45.136932000000002</v>
      </c>
      <c r="I18" s="81">
        <f>153744417/M4</f>
        <v>153.744417</v>
      </c>
      <c r="J18" s="81">
        <f>23833216/M4</f>
        <v>23.833216</v>
      </c>
      <c r="K18" s="81">
        <f>263039819/M4</f>
        <v>263.03981900000002</v>
      </c>
      <c r="L18" s="42">
        <f t="shared" si="2"/>
        <v>-239.20660300000003</v>
      </c>
      <c r="M18" s="43">
        <f t="shared" si="3"/>
        <v>-0.90939312500059166</v>
      </c>
    </row>
    <row r="19" spans="1:13" s="1" customFormat="1" ht="13.5" x14ac:dyDescent="0.2">
      <c r="A19" s="72" t="s">
        <v>62</v>
      </c>
      <c r="B19" s="82">
        <v>1500</v>
      </c>
      <c r="C19" s="82">
        <v>1500</v>
      </c>
      <c r="D19" s="82">
        <v>1500</v>
      </c>
      <c r="E19" s="82">
        <v>1500</v>
      </c>
      <c r="F19" s="73">
        <f t="shared" si="0"/>
        <v>0</v>
      </c>
      <c r="G19" s="43"/>
      <c r="H19" s="80">
        <v>200</v>
      </c>
      <c r="I19" s="82">
        <v>200</v>
      </c>
      <c r="J19" s="82">
        <v>200</v>
      </c>
      <c r="K19" s="81">
        <v>200</v>
      </c>
      <c r="L19" s="42"/>
      <c r="M19" s="43"/>
    </row>
    <row r="20" spans="1:13" s="1" customFormat="1" ht="14.25" thickBot="1" x14ac:dyDescent="0.25">
      <c r="A20" s="66"/>
      <c r="B20" s="67"/>
      <c r="C20" s="67"/>
      <c r="D20" s="67"/>
      <c r="E20" s="67"/>
      <c r="F20" s="67"/>
      <c r="G20" s="68"/>
      <c r="H20" s="68"/>
      <c r="I20" s="68"/>
      <c r="J20" s="69"/>
      <c r="K20" s="69"/>
      <c r="L20" s="70"/>
      <c r="M20" s="71"/>
    </row>
    <row r="21" spans="1:13" s="1" customFormat="1" ht="15" thickTop="1" thickBot="1" x14ac:dyDescent="0.25">
      <c r="H21" s="61"/>
      <c r="I21" s="61"/>
    </row>
    <row r="22" spans="1:13" s="1" customFormat="1" ht="32.450000000000003" customHeight="1" thickBot="1" x14ac:dyDescent="0.25">
      <c r="B22" s="47" t="s">
        <v>50</v>
      </c>
      <c r="C22" s="47">
        <v>42369</v>
      </c>
      <c r="D22" s="48">
        <v>42004</v>
      </c>
      <c r="E22" s="48">
        <v>42004</v>
      </c>
      <c r="F22" s="48" t="s">
        <v>64</v>
      </c>
    </row>
    <row r="23" spans="1:13" s="1" customFormat="1" ht="32.450000000000003" customHeight="1" thickBot="1" x14ac:dyDescent="0.25">
      <c r="A23" s="50" t="s">
        <v>63</v>
      </c>
      <c r="B23" s="55">
        <f>+B18+H18</f>
        <v>890.84673963</v>
      </c>
      <c r="C23" s="55">
        <f>+C18+I18</f>
        <v>5241.7444169999999</v>
      </c>
      <c r="D23" s="55">
        <f>+D18+J18</f>
        <v>7144.5212160000001</v>
      </c>
      <c r="E23" s="77">
        <f>+E18+K18</f>
        <v>5181.4408189999995</v>
      </c>
      <c r="F23" s="77" t="s">
        <v>65</v>
      </c>
    </row>
    <row r="24" spans="1:13" s="1" customFormat="1" ht="61.9" customHeight="1" thickBot="1" x14ac:dyDescent="0.25">
      <c r="A24" s="50" t="s">
        <v>55</v>
      </c>
      <c r="B24" s="62"/>
      <c r="C24" s="56">
        <f>+(C8-C9)+(I8-I9)</f>
        <v>23921.897845</v>
      </c>
      <c r="D24" s="56"/>
      <c r="E24" s="56">
        <f>+(E8-E9)+(K8-K9)</f>
        <v>13122.660417999999</v>
      </c>
      <c r="F24" s="77" t="s">
        <v>65</v>
      </c>
      <c r="G24" s="52"/>
      <c r="H24" s="52"/>
      <c r="I24" s="52"/>
    </row>
    <row r="25" spans="1:13" s="1" customFormat="1" ht="46.9" customHeight="1" thickBot="1" x14ac:dyDescent="0.25">
      <c r="A25" s="50" t="s">
        <v>56</v>
      </c>
      <c r="B25" s="56">
        <f>+(B8-B9)+(H8-H9)</f>
        <v>17375.240816720001</v>
      </c>
      <c r="C25" s="56"/>
      <c r="D25" s="56"/>
      <c r="E25" s="78"/>
      <c r="F25" s="77" t="s">
        <v>65</v>
      </c>
      <c r="G25" s="52"/>
      <c r="H25" s="52"/>
      <c r="I25" s="52"/>
    </row>
    <row r="26" spans="1:13" s="1" customFormat="1" ht="78.599999999999994" customHeight="1" thickBot="1" x14ac:dyDescent="0.25">
      <c r="A26" s="51" t="s">
        <v>51</v>
      </c>
      <c r="B26" s="10"/>
      <c r="C26" s="60">
        <f>(B11/B10)*85%+(I11/I10)*15%</f>
        <v>0.6173865219185577</v>
      </c>
      <c r="D26" s="57"/>
      <c r="E26" s="60">
        <f>(D11/D10)*85%+(K11/K10)*15%</f>
        <v>0.64604237565687805</v>
      </c>
      <c r="F26" s="77" t="s">
        <v>65</v>
      </c>
      <c r="G26" s="53"/>
      <c r="H26" s="53"/>
      <c r="I26" s="53"/>
    </row>
    <row r="27" spans="1:13" s="1" customFormat="1" ht="36" customHeight="1" thickBot="1" x14ac:dyDescent="0.25">
      <c r="A27" s="54" t="s">
        <v>52</v>
      </c>
      <c r="B27" s="57">
        <f>+((B11/B10)*85%)+((H11/H10)*15%)</f>
        <v>0.63438330082520777</v>
      </c>
      <c r="C27" s="57"/>
      <c r="D27" s="57"/>
      <c r="E27" s="79"/>
      <c r="F27" s="77" t="s">
        <v>65</v>
      </c>
      <c r="G27" s="53"/>
      <c r="H27" s="53"/>
      <c r="I27" s="53"/>
    </row>
    <row r="28" spans="1:13" s="1" customFormat="1" ht="27.75" thickBot="1" x14ac:dyDescent="0.25">
      <c r="A28" s="58" t="s">
        <v>29</v>
      </c>
      <c r="B28" s="57"/>
      <c r="C28" s="56">
        <f>1500000+200000</f>
        <v>1700000</v>
      </c>
      <c r="D28" s="57"/>
      <c r="E28" s="56">
        <f>1500000+200000</f>
        <v>1700000</v>
      </c>
      <c r="F28" s="77" t="s">
        <v>65</v>
      </c>
      <c r="G28" s="53"/>
      <c r="H28" s="53"/>
      <c r="I28" s="53"/>
    </row>
    <row r="29" spans="1:13" s="1" customFormat="1" ht="13.5" x14ac:dyDescent="0.2">
      <c r="A29" s="74"/>
      <c r="B29" s="75"/>
      <c r="C29" s="76"/>
      <c r="D29" s="75"/>
      <c r="E29" s="53"/>
      <c r="F29" s="53"/>
      <c r="G29" s="53"/>
      <c r="H29" s="53"/>
      <c r="I29" s="53"/>
    </row>
    <row r="30" spans="1:13" s="1" customFormat="1" ht="13.5" x14ac:dyDescent="0.2">
      <c r="A30" s="74"/>
      <c r="B30" s="75"/>
      <c r="C30" s="76"/>
      <c r="D30" s="75"/>
      <c r="E30" s="53"/>
      <c r="F30" s="53"/>
      <c r="G30" s="53"/>
      <c r="H30" s="53"/>
      <c r="I30" s="53"/>
    </row>
    <row r="31" spans="1:13" s="1" customFormat="1" ht="13.5" x14ac:dyDescent="0.2">
      <c r="A31" s="74"/>
      <c r="B31" s="75"/>
      <c r="C31" s="76"/>
      <c r="D31" s="75"/>
      <c r="E31" s="53"/>
      <c r="F31" s="53"/>
      <c r="G31" s="53"/>
      <c r="H31" s="53"/>
      <c r="I31" s="53"/>
    </row>
    <row r="32" spans="1:13" s="1" customFormat="1" ht="13.5" x14ac:dyDescent="0.2"/>
    <row r="33" s="1" customFormat="1" ht="13.5" x14ac:dyDescent="0.2"/>
    <row r="34" s="1" customFormat="1" ht="13.5" x14ac:dyDescent="0.2"/>
    <row r="35" s="1" customFormat="1" ht="13.5" x14ac:dyDescent="0.2"/>
    <row r="36" s="1" customFormat="1" ht="13.5" x14ac:dyDescent="0.2"/>
    <row r="37" s="8" customFormat="1" ht="13.5" x14ac:dyDescent="0.2"/>
    <row r="38" s="1" customFormat="1" ht="13.5" x14ac:dyDescent="0.2"/>
  </sheetData>
  <mergeCells count="6">
    <mergeCell ref="B6:G6"/>
    <mergeCell ref="B5:M5"/>
    <mergeCell ref="H6:M6"/>
    <mergeCell ref="A1:M1"/>
    <mergeCell ref="A2:M2"/>
    <mergeCell ref="B3:D3"/>
  </mergeCells>
  <pageMargins left="0.70866141732283472" right="0.70866141732283472" top="0.74803149606299213" bottom="0.74803149606299213" header="0.31496062992125984" footer="0.31496062992125984"/>
  <pageSetup scale="5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Requisitos Financieros</vt:lpstr>
      <vt:lpstr>Analisis de Cifras</vt:lpstr>
      <vt:lpstr>'Analisis de Cifras'!Área_de_impresión</vt:lpstr>
      <vt:lpstr>'Requisitos Financieros'!Área_de_impresión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jprada</dc:creator>
  <cp:lastModifiedBy>Fabiola Colorado Guillen</cp:lastModifiedBy>
  <cp:lastPrinted>2017-01-24T12:56:27Z</cp:lastPrinted>
  <dcterms:created xsi:type="dcterms:W3CDTF">2007-10-30T14:10:17Z</dcterms:created>
  <dcterms:modified xsi:type="dcterms:W3CDTF">2017-02-01T13:56:37Z</dcterms:modified>
</cp:coreProperties>
</file>